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malco\Desktop\"/>
    </mc:Choice>
  </mc:AlternateContent>
  <bookViews>
    <workbookView xWindow="0" yWindow="0" windowWidth="28800" windowHeight="130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AB16" i="1"/>
  <c r="Z16" i="1"/>
  <c r="V16" i="1"/>
  <c r="U16" i="1"/>
  <c r="T16" i="1"/>
  <c r="W16" i="1"/>
  <c r="O16" i="1"/>
  <c r="AD16" i="1" l="1"/>
  <c r="AC16" i="1"/>
  <c r="S16" i="1"/>
  <c r="X16" i="1" s="1"/>
  <c r="Y16" i="1" s="1"/>
  <c r="Q16" i="1"/>
  <c r="P16" i="1"/>
  <c r="M16" i="1"/>
  <c r="L16" i="1"/>
  <c r="AA16" i="1" s="1"/>
  <c r="AE16" i="1" s="1"/>
  <c r="R16" i="1" l="1"/>
  <c r="AG16" i="1" l="1"/>
  <c r="AF16" i="1"/>
  <c r="AJ16" i="1"/>
  <c r="AH16" i="1"/>
  <c r="AI16" i="1" l="1"/>
</calcChain>
</file>

<file path=xl/comments1.xml><?xml version="1.0" encoding="utf-8"?>
<comments xmlns="http://schemas.openxmlformats.org/spreadsheetml/2006/main">
  <authors>
    <author>Malcolm Mak</author>
  </authors>
  <commentList>
    <comment ref="C5" authorId="0" shapeId="0">
      <text>
        <r>
          <rPr>
            <b/>
            <sz val="9"/>
            <color indexed="81"/>
            <rFont val="Tahoma"/>
            <charset val="1"/>
          </rPr>
          <t>Malcolm Mak:</t>
        </r>
        <r>
          <rPr>
            <sz val="9"/>
            <color indexed="81"/>
            <rFont val="Tahoma"/>
            <charset val="1"/>
          </rPr>
          <t xml:space="preserve">
include km/h in the dropdown options otherwise the 7 dependent CELLS do not work
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Malcolm Mak:</t>
        </r>
        <r>
          <rPr>
            <sz val="9"/>
            <color indexed="81"/>
            <rFont val="Tahoma"/>
            <charset val="1"/>
          </rPr>
          <t xml:space="preserve">
Provide the four dropdown options: 2.7 m and narrower, 3.0 m, 3.3 m. 3.5 m and wider - otherwise CELL M16 (lane width factor) does not work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Malcolm Mak:</t>
        </r>
        <r>
          <rPr>
            <sz val="9"/>
            <color indexed="81"/>
            <rFont val="Tahoma"/>
            <charset val="1"/>
          </rPr>
          <t xml:space="preserve">
Change this to a drop down box to avoid issues if typed incorrectly by user</t>
        </r>
      </text>
    </comment>
  </commentList>
</comments>
</file>

<file path=xl/sharedStrings.xml><?xml version="1.0" encoding="utf-8"?>
<sst xmlns="http://schemas.openxmlformats.org/spreadsheetml/2006/main" count="131" uniqueCount="114">
  <si>
    <t>Road Characteristics</t>
  </si>
  <si>
    <t>Item</t>
  </si>
  <si>
    <t>Description</t>
  </si>
  <si>
    <t>Quantity</t>
  </si>
  <si>
    <t>A</t>
  </si>
  <si>
    <t>B</t>
  </si>
  <si>
    <t>C</t>
  </si>
  <si>
    <t>D</t>
  </si>
  <si>
    <t>E</t>
  </si>
  <si>
    <t>F</t>
  </si>
  <si>
    <t>G</t>
  </si>
  <si>
    <t>H</t>
  </si>
  <si>
    <t>Terrain</t>
  </si>
  <si>
    <t>Environment</t>
  </si>
  <si>
    <t>Operating Speed</t>
  </si>
  <si>
    <t>Divided road</t>
  </si>
  <si>
    <t>Lane width</t>
  </si>
  <si>
    <t>AADT</t>
  </si>
  <si>
    <t>Length of road section</t>
  </si>
  <si>
    <t>Do the isolated hazards shield the background hazard?</t>
  </si>
  <si>
    <t>Flat</t>
  </si>
  <si>
    <t>Rolling</t>
  </si>
  <si>
    <t>Mountainous</t>
  </si>
  <si>
    <t>Rural</t>
  </si>
  <si>
    <t>Urban</t>
  </si>
  <si>
    <t>Divided Road</t>
  </si>
  <si>
    <t>Yes</t>
  </si>
  <si>
    <t>No</t>
  </si>
  <si>
    <t>veh/day</t>
  </si>
  <si>
    <t>m</t>
  </si>
  <si>
    <t>Data Input</t>
  </si>
  <si>
    <t>Site</t>
  </si>
  <si>
    <t>Grade % (positive upgrade)</t>
  </si>
  <si>
    <t>Exposure</t>
  </si>
  <si>
    <t>Base exposure (enc/km/yr)</t>
  </si>
  <si>
    <t>Lane factor</t>
  </si>
  <si>
    <t>Lane width factor</t>
  </si>
  <si>
    <t>Terrain factor</t>
  </si>
  <si>
    <t>Curve factor</t>
  </si>
  <si>
    <t>Exposure (enc/km/yr)</t>
  </si>
  <si>
    <t>Likelihood (background hazard)</t>
  </si>
  <si>
    <t>Likelihood curve correction factor</t>
  </si>
  <si>
    <t>Likelihood of colliding with background hazard without isolated hazards</t>
  </si>
  <si>
    <t>Likelihood modification factor</t>
  </si>
  <si>
    <t>Likelihood accounting for shielding by isolated hazards</t>
  </si>
  <si>
    <t>Impact length of isolated hazard</t>
  </si>
  <si>
    <t>Likelihood of colliding with continuous isolated hazard</t>
  </si>
  <si>
    <t>Likelihood of rollover</t>
  </si>
  <si>
    <t xml:space="preserve">Likelihood of colliding with oncoming vehicle </t>
  </si>
  <si>
    <t>Likelihood (Isolated hazards)</t>
  </si>
  <si>
    <t>K</t>
  </si>
  <si>
    <t>L</t>
  </si>
  <si>
    <t>J and M</t>
  </si>
  <si>
    <t>O</t>
  </si>
  <si>
    <t>AH</t>
  </si>
  <si>
    <t>Q</t>
  </si>
  <si>
    <t>R</t>
  </si>
  <si>
    <t>S</t>
  </si>
  <si>
    <t>AK</t>
  </si>
  <si>
    <t>T</t>
  </si>
  <si>
    <t>U</t>
  </si>
  <si>
    <t>V</t>
  </si>
  <si>
    <t>W</t>
  </si>
  <si>
    <t>X</t>
  </si>
  <si>
    <t>Y</t>
  </si>
  <si>
    <t>Grade Factor</t>
  </si>
  <si>
    <t>Z</t>
  </si>
  <si>
    <t>AA</t>
  </si>
  <si>
    <t>AB</t>
  </si>
  <si>
    <t>AC</t>
  </si>
  <si>
    <t>AD</t>
  </si>
  <si>
    <t>AE</t>
  </si>
  <si>
    <t>AF</t>
  </si>
  <si>
    <t>AG</t>
  </si>
  <si>
    <t>AJ</t>
  </si>
  <si>
    <t>AL</t>
  </si>
  <si>
    <t>AM</t>
  </si>
  <si>
    <t>AO</t>
  </si>
  <si>
    <t>AP</t>
  </si>
  <si>
    <t>AQ</t>
  </si>
  <si>
    <t>AR</t>
  </si>
  <si>
    <t>AS</t>
  </si>
  <si>
    <t>AT</t>
  </si>
  <si>
    <t>Isolated hazard trauma index at design speed</t>
  </si>
  <si>
    <t>Rollover</t>
  </si>
  <si>
    <t>Oncoming Vehicles Trauma index</t>
  </si>
  <si>
    <t>Risk score for background hazard</t>
  </si>
  <si>
    <t>Risk score for isolated hazards</t>
  </si>
  <si>
    <t>Combined Risk Score</t>
  </si>
  <si>
    <t>Severity (Trauma Index)</t>
  </si>
  <si>
    <t>Risk Score</t>
  </si>
  <si>
    <t>exposure x likelihood x trauma index</t>
  </si>
  <si>
    <r>
      <t>Number of lanes in the direction of travel</t>
    </r>
    <r>
      <rPr>
        <sz val="10"/>
        <color theme="1"/>
        <rFont val="Calibri"/>
        <family val="2"/>
        <scheme val="minor"/>
      </rPr>
      <t xml:space="preserve"> (in the Carriageway)</t>
    </r>
  </si>
  <si>
    <t>Lareral distance to isolated hazards
(m)</t>
  </si>
  <si>
    <t>Curve Radii (m)
(use 2000 for straight roads)</t>
  </si>
  <si>
    <t>Lateral distance to background hazard 
(m) 
(use a -ve distance for no background)</t>
  </si>
  <si>
    <t>Trauma index for background hazard 
(operating speed = 110km/h)</t>
  </si>
  <si>
    <t>Length of isolated hazard (m)
(use 0 for no isolated hazards)</t>
  </si>
  <si>
    <t>Oncoming vehicles risk score</t>
  </si>
  <si>
    <t>Likelihood of colliding with isolated hazards</t>
  </si>
  <si>
    <t>Average distance between hazards 
(m)</t>
  </si>
  <si>
    <r>
      <t>Trauma Index for isolated hazard 
(</t>
    </r>
    <r>
      <rPr>
        <sz val="9"/>
        <color theme="1"/>
        <rFont val="Calibri"/>
        <family val="2"/>
        <scheme val="minor"/>
      </rPr>
      <t>Operating speed = 110km/h</t>
    </r>
    <r>
      <rPr>
        <sz val="10"/>
        <color theme="1"/>
        <rFont val="Calibri"/>
        <family val="2"/>
        <scheme val="minor"/>
      </rPr>
      <t>)</t>
    </r>
  </si>
  <si>
    <t>Objects inside curve? 
Yes/No</t>
  </si>
  <si>
    <t>2.7 m and narrower</t>
  </si>
  <si>
    <t>70 km/h</t>
  </si>
  <si>
    <t>80 km/h</t>
  </si>
  <si>
    <t>90 km/h</t>
  </si>
  <si>
    <t>110 km/h</t>
  </si>
  <si>
    <t>Lane Width</t>
  </si>
  <si>
    <t>3.0 m</t>
  </si>
  <si>
    <t>3.3 m</t>
  </si>
  <si>
    <t>3.5 m and wider</t>
  </si>
  <si>
    <t>Objects inside curve</t>
  </si>
  <si>
    <t>Background hazard trauma index at design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</si>
</sst>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0" fontId="0" fillId="3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2" fillId="0" borderId="0" xfId="0" applyFont="1"/>
    <xf numFmtId="164" fontId="0" fillId="0" borderId="0" xfId="0" applyNumberForma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9"/>
  <sheetViews>
    <sheetView tabSelected="1" workbookViewId="0">
      <selection activeCell="D29" sqref="D29"/>
    </sheetView>
  </sheetViews>
  <sheetFormatPr defaultRowHeight="15" x14ac:dyDescent="0.25"/>
  <cols>
    <col min="1" max="1" width="5.140625" bestFit="1" customWidth="1"/>
    <col min="2" max="2" width="28" bestFit="1" customWidth="1"/>
    <col min="3" max="3" width="20.140625" customWidth="1"/>
    <col min="4" max="4" width="13.140625" customWidth="1"/>
    <col min="5" max="10" width="15.7109375" customWidth="1"/>
    <col min="11" max="11" width="3.28515625" customWidth="1"/>
    <col min="12" max="18" width="11.7109375" customWidth="1"/>
    <col min="19" max="36" width="12.7109375" customWidth="1"/>
  </cols>
  <sheetData>
    <row r="1" spans="1:36" ht="21" x14ac:dyDescent="0.35">
      <c r="B1" s="17" t="s">
        <v>0</v>
      </c>
      <c r="C1" s="3"/>
    </row>
    <row r="2" spans="1:36" x14ac:dyDescent="0.25">
      <c r="A2" s="10" t="s">
        <v>1</v>
      </c>
      <c r="B2" s="3" t="s">
        <v>2</v>
      </c>
      <c r="C2" s="10" t="s">
        <v>3</v>
      </c>
    </row>
    <row r="3" spans="1:36" x14ac:dyDescent="0.25">
      <c r="A3" s="2" t="s">
        <v>4</v>
      </c>
      <c r="B3" t="s">
        <v>12</v>
      </c>
      <c r="C3" s="5" t="s">
        <v>20</v>
      </c>
      <c r="D3" s="4"/>
    </row>
    <row r="4" spans="1:36" x14ac:dyDescent="0.25">
      <c r="A4" s="2" t="s">
        <v>5</v>
      </c>
      <c r="B4" t="s">
        <v>13</v>
      </c>
      <c r="C4" s="5" t="s">
        <v>23</v>
      </c>
      <c r="D4" s="4"/>
    </row>
    <row r="5" spans="1:36" x14ac:dyDescent="0.25">
      <c r="A5" s="2" t="s">
        <v>6</v>
      </c>
      <c r="B5" t="s">
        <v>14</v>
      </c>
      <c r="C5" s="5" t="s">
        <v>107</v>
      </c>
      <c r="D5" s="4"/>
    </row>
    <row r="6" spans="1:36" x14ac:dyDescent="0.25">
      <c r="A6" s="2" t="s">
        <v>7</v>
      </c>
      <c r="B6" t="s">
        <v>15</v>
      </c>
      <c r="C6" s="5" t="s">
        <v>27</v>
      </c>
      <c r="D6" s="4"/>
    </row>
    <row r="7" spans="1:36" ht="43.5" x14ac:dyDescent="0.25">
      <c r="A7" s="2" t="s">
        <v>8</v>
      </c>
      <c r="B7" s="1" t="s">
        <v>92</v>
      </c>
      <c r="C7" s="9">
        <v>1</v>
      </c>
      <c r="D7" s="4"/>
    </row>
    <row r="8" spans="1:36" x14ac:dyDescent="0.25">
      <c r="A8" s="2" t="s">
        <v>9</v>
      </c>
      <c r="B8" t="s">
        <v>16</v>
      </c>
      <c r="C8" s="5" t="s">
        <v>109</v>
      </c>
      <c r="D8" s="4"/>
    </row>
    <row r="9" spans="1:36" x14ac:dyDescent="0.25">
      <c r="A9" s="2" t="s">
        <v>10</v>
      </c>
      <c r="B9" t="s">
        <v>17</v>
      </c>
      <c r="C9" s="5">
        <v>600</v>
      </c>
      <c r="D9" s="4" t="s">
        <v>28</v>
      </c>
    </row>
    <row r="10" spans="1:36" x14ac:dyDescent="0.25">
      <c r="A10" s="2" t="s">
        <v>11</v>
      </c>
      <c r="B10" t="s">
        <v>18</v>
      </c>
      <c r="C10" s="5">
        <v>1000</v>
      </c>
      <c r="D10" s="4" t="s">
        <v>29</v>
      </c>
    </row>
    <row r="11" spans="1:36" ht="30" x14ac:dyDescent="0.25">
      <c r="B11" s="1" t="s">
        <v>19</v>
      </c>
      <c r="C11" s="9" t="s">
        <v>26</v>
      </c>
      <c r="D11" s="4"/>
    </row>
    <row r="13" spans="1:36" s="3" customFormat="1" ht="21" x14ac:dyDescent="0.35">
      <c r="B13" s="17" t="s">
        <v>30</v>
      </c>
      <c r="L13" s="3" t="s">
        <v>33</v>
      </c>
      <c r="S13" s="3" t="s">
        <v>40</v>
      </c>
      <c r="W13" s="3" t="s">
        <v>49</v>
      </c>
      <c r="AB13" s="3" t="s">
        <v>89</v>
      </c>
      <c r="AF13" s="3" t="s">
        <v>90</v>
      </c>
      <c r="AG13" s="21" t="s">
        <v>91</v>
      </c>
    </row>
    <row r="14" spans="1:36" s="2" customFormat="1" x14ac:dyDescent="0.25">
      <c r="A14" s="2" t="s">
        <v>1</v>
      </c>
      <c r="B14" s="2" t="s">
        <v>50</v>
      </c>
      <c r="C14" s="2" t="s">
        <v>51</v>
      </c>
      <c r="D14" s="2" t="s">
        <v>52</v>
      </c>
      <c r="E14" s="2" t="s">
        <v>53</v>
      </c>
      <c r="F14" s="2" t="s">
        <v>54</v>
      </c>
      <c r="G14" s="2" t="s">
        <v>55</v>
      </c>
      <c r="H14" s="2" t="s">
        <v>56</v>
      </c>
      <c r="I14" s="2" t="s">
        <v>57</v>
      </c>
      <c r="J14" s="2" t="s">
        <v>58</v>
      </c>
      <c r="L14" s="2" t="s">
        <v>59</v>
      </c>
      <c r="M14" s="2" t="s">
        <v>60</v>
      </c>
      <c r="N14" s="2" t="s">
        <v>61</v>
      </c>
      <c r="O14" s="2" t="s">
        <v>62</v>
      </c>
      <c r="P14" s="2" t="s">
        <v>63</v>
      </c>
      <c r="Q14" s="2" t="s">
        <v>64</v>
      </c>
      <c r="R14" s="2" t="s">
        <v>66</v>
      </c>
      <c r="T14" s="2" t="s">
        <v>67</v>
      </c>
      <c r="U14" s="2" t="s">
        <v>68</v>
      </c>
      <c r="V14" s="2" t="s">
        <v>69</v>
      </c>
      <c r="X14" s="2" t="s">
        <v>70</v>
      </c>
      <c r="Y14" s="2" t="s">
        <v>71</v>
      </c>
      <c r="Z14" s="2" t="s">
        <v>72</v>
      </c>
      <c r="AA14" s="2" t="s">
        <v>73</v>
      </c>
      <c r="AB14" s="2" t="s">
        <v>74</v>
      </c>
      <c r="AC14" s="2" t="s">
        <v>75</v>
      </c>
      <c r="AD14" s="2" t="s">
        <v>76</v>
      </c>
      <c r="AE14" s="2" t="s">
        <v>77</v>
      </c>
      <c r="AF14" s="2" t="s">
        <v>78</v>
      </c>
      <c r="AG14" s="2" t="s">
        <v>79</v>
      </c>
      <c r="AH14" s="2" t="s">
        <v>80</v>
      </c>
      <c r="AI14" s="18" t="s">
        <v>81</v>
      </c>
      <c r="AJ14" s="2" t="s">
        <v>82</v>
      </c>
    </row>
    <row r="15" spans="1:36" s="11" customFormat="1" ht="102" customHeight="1" x14ac:dyDescent="0.25">
      <c r="A15" s="11" t="s">
        <v>31</v>
      </c>
      <c r="B15" s="12" t="s">
        <v>32</v>
      </c>
      <c r="C15" s="12" t="s">
        <v>94</v>
      </c>
      <c r="D15" s="12" t="s">
        <v>102</v>
      </c>
      <c r="E15" s="12" t="s">
        <v>95</v>
      </c>
      <c r="F15" s="12" t="s">
        <v>96</v>
      </c>
      <c r="G15" s="12" t="s">
        <v>97</v>
      </c>
      <c r="H15" s="12" t="s">
        <v>100</v>
      </c>
      <c r="I15" s="12" t="s">
        <v>93</v>
      </c>
      <c r="J15" s="12" t="s">
        <v>101</v>
      </c>
      <c r="L15" s="13" t="s">
        <v>34</v>
      </c>
      <c r="M15" s="13" t="s">
        <v>35</v>
      </c>
      <c r="N15" s="13" t="s">
        <v>36</v>
      </c>
      <c r="O15" s="13" t="s">
        <v>37</v>
      </c>
      <c r="P15" s="13" t="s">
        <v>65</v>
      </c>
      <c r="Q15" s="13" t="s">
        <v>38</v>
      </c>
      <c r="R15" s="13" t="s">
        <v>39</v>
      </c>
      <c r="S15" s="14" t="s">
        <v>41</v>
      </c>
      <c r="T15" s="14" t="s">
        <v>42</v>
      </c>
      <c r="U15" s="14" t="s">
        <v>43</v>
      </c>
      <c r="V15" s="14" t="s">
        <v>44</v>
      </c>
      <c r="W15" s="14" t="s">
        <v>45</v>
      </c>
      <c r="X15" s="14" t="s">
        <v>46</v>
      </c>
      <c r="Y15" s="14" t="s">
        <v>99</v>
      </c>
      <c r="Z15" s="14" t="s">
        <v>47</v>
      </c>
      <c r="AA15" s="14" t="s">
        <v>48</v>
      </c>
      <c r="AB15" s="15" t="s">
        <v>113</v>
      </c>
      <c r="AC15" s="15" t="s">
        <v>83</v>
      </c>
      <c r="AD15" s="15" t="s">
        <v>84</v>
      </c>
      <c r="AE15" s="15" t="s">
        <v>85</v>
      </c>
      <c r="AF15" s="16" t="s">
        <v>86</v>
      </c>
      <c r="AG15" s="16" t="s">
        <v>87</v>
      </c>
      <c r="AH15" s="16" t="s">
        <v>84</v>
      </c>
      <c r="AI15" s="19" t="s">
        <v>88</v>
      </c>
      <c r="AJ15" s="16" t="s">
        <v>98</v>
      </c>
    </row>
    <row r="16" spans="1:36" s="2" customFormat="1" x14ac:dyDescent="0.25">
      <c r="A16" s="2">
        <v>1</v>
      </c>
      <c r="B16" s="2">
        <v>0</v>
      </c>
      <c r="C16" s="2">
        <v>2000</v>
      </c>
      <c r="D16" s="2" t="s">
        <v>27</v>
      </c>
      <c r="E16" s="2">
        <v>0</v>
      </c>
      <c r="F16" s="8">
        <v>0.63</v>
      </c>
      <c r="G16" s="2">
        <v>10</v>
      </c>
      <c r="H16" s="2">
        <v>100</v>
      </c>
      <c r="I16" s="2">
        <v>10</v>
      </c>
      <c r="J16" s="7">
        <v>6</v>
      </c>
      <c r="L16" s="22">
        <f>IF($C$6="Yes",IF($C$9&lt;12110,0.00034055*$C$9*EXP(-0.2104-0.08256*$C$9/1000),IF($C$9&lt;23230,1.2295,0.05293*$C$9/1000)), IF($C$9&lt;4780,0.00028616*$C$9*EXP(0.4997-0.2092*$C$9/1000), IF($C$9&lt;11560,0.8294,0.07177*$C$9/1000)))</f>
        <v>0.2496114406006851</v>
      </c>
      <c r="M16" s="7">
        <f>IF($C$4="Rural",IF($C$6="Yes",IF($C$7&gt;2,0.91,1),IF($C$7&gt;1,0.76,1)),1)</f>
        <v>1</v>
      </c>
      <c r="N16" s="7">
        <f>IF($C$6="No", IF($C$4="Rural", IF($C$8="2.7 m and narrower",1.5, IF($C$8="3.0 m",1.3, IF($C$8="3.3 m",1.05,1))), IF($C$8="2.7 m and narrower",2.13, IF($C$8="3.0 m",1.85, IF($C$8="3.3 m",1.49,1.42)))), IF($C$8="2.7 m and narrower",1.25, IF($C$8="3.0 m",1.15, IF($C$8="3.3 m",1.03,1))))</f>
        <v>1.3</v>
      </c>
      <c r="O16" s="7">
        <f>IF($C$6="No", IF($C$3="Rolling",2.58, IF($C$3="Mountainous",2.27,1)), IF($C$3="Rolling",1.66, IF($C$3="Mountainous",1.51,1)))</f>
        <v>1</v>
      </c>
      <c r="P16" s="7">
        <f>IF(B16&lt;-6,2, IF(B16&gt;-2,1,0.5-B16/4))</f>
        <v>1</v>
      </c>
      <c r="Q16" s="7">
        <f>IF(D16="Yes", IF(C16&gt;600,1, IF(C16&lt;300,2,3-C16/300)), IF(C16&gt;600,1, IF(C16&lt;300,4,7-C16/100)))</f>
        <v>1</v>
      </c>
      <c r="R16" s="6">
        <f>L16*M16*N16*O16*P16*Q16</f>
        <v>0.32449487278089062</v>
      </c>
      <c r="S16" s="7">
        <f>IF($C$4="Urban",1, IF($C$5="70 km/h", IF(C16&lt;201,1.4, IF(C16&lt;301,1.3, IF(C16&lt;601,1.2, IF(C16&lt;1001,1.1,1)))), IF($C$5="90 km/h", IF(C16&lt;301,1.5, IF(C16&lt;351,1.4, IF(C16&lt;501,1.3, IF(C16&lt;1001,1.2, IF(C16&lt;1201,1.1,1))))), IF(C16&lt;451,1.5, IF(C16&lt;601,1.4, IF(C16&lt;701,1.3, IF(C16&lt;1001,1.2, IF(C16&lt;1201,1.1,1))))))))</f>
        <v>1</v>
      </c>
      <c r="T16" s="7">
        <f>IF(E16&lt;0,"",100*EXP(-0.1644409/IF($C$5="110 km/h",1, IF($C$5="90 km/h",0.66942, IF($C$5="80 km/h",0.52893,0.40496)))/S16*E16)/100)</f>
        <v>1</v>
      </c>
      <c r="U16" s="2">
        <f>IF(W16=0,1,IF(E16&lt;0,"",IF($C$11="No",1,(1-W16/MIN(H16,$C$10)))))</f>
        <v>0.72</v>
      </c>
      <c r="V16" s="7">
        <f>IF(E16&lt;0,"",T16*U16)</f>
        <v>0.72</v>
      </c>
      <c r="W16" s="7">
        <f>IF(G16=0,0, IF(G16&lt;$C$10-18,18+G16,""))</f>
        <v>28</v>
      </c>
      <c r="X16" s="7">
        <f>100*EXP(-0.1644409/IF($C$5="110 km/h",1, IF($C$5="90 km/h",0.66942, IF($C$5="80 km/h",0.52893,0.40496)))/S16*I16)/100</f>
        <v>0.19312666693282471</v>
      </c>
      <c r="Y16" s="7">
        <f>IF(G16=0,0,IF(W16="","",X16*W16/MIN(H16,$C$10)))</f>
        <v>5.4075466741190924E-2</v>
      </c>
      <c r="Z16" s="7">
        <f>IF(E16&lt;0,"",0.00592*E16*IF($C$5="110 km/h",1, IF($C$5="90 km/h",0.66942, IF($C$5="80 km/h",0.52893,0.40496))))</f>
        <v>0</v>
      </c>
      <c r="AA16" s="7">
        <f>IF($C$4="Urban","", IF($C$6="Yes","",0.000004025*C$9^1.0544009/L16))</f>
        <v>1.3702082456166203E-2</v>
      </c>
      <c r="AB16" s="7">
        <f>IF(E16&lt;0,"", IF($C$5="70 km/h", 0.2577*F16, IF($C$5="90 km/h",0.5477*F16, IF($C$5="80 km/h", 0.38467*F16,1*F16))))</f>
        <v>0.63</v>
      </c>
      <c r="AC16" s="7">
        <f>IF($C$5="70 km/h", 0.2577*J16, IF($C$5="90 km/h",0.5477*J16, IF($C$5="80 km/h", 0.38467*J16,1*J16)))</f>
        <v>6</v>
      </c>
      <c r="AD16" s="2">
        <f>0.63</f>
        <v>0.63</v>
      </c>
      <c r="AE16" s="7">
        <f>IF(AA16="","", IF($C$5="70 km/h", 0.2577*87, IF($C$5="90 km/h",0.5477*87, IF($C$5="80 km/h", 0.38467*87,87))))</f>
        <v>87</v>
      </c>
      <c r="AF16" s="7">
        <f>IF(E16&lt;0,0,R16*V16*AB16)</f>
        <v>0.14719087429341196</v>
      </c>
      <c r="AG16" s="7">
        <f>R16*Y16*AC16</f>
        <v>0.10528327020450018</v>
      </c>
      <c r="AH16" s="7">
        <f>IF(E16&lt;0,0,R16*Z16*AD16)</f>
        <v>0</v>
      </c>
      <c r="AI16" s="20">
        <f>IF(AF16="",0,AF16)+IF(AG16="",0,AG16)+IF(AH16="",0,AH16)</f>
        <v>0.25247414449791217</v>
      </c>
      <c r="AJ16" s="7">
        <f>IF(AA16="","",R16*AA16*AE16)</f>
        <v>0.38682422879988249</v>
      </c>
    </row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</sheetData>
  <dataConsolidate/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Sheet2!$A$3:$A$5</xm:f>
          </x14:formula1>
          <xm:sqref>C3</xm:sqref>
        </x14:dataValidation>
        <x14:dataValidation type="list" allowBlank="1" showInputMessage="1" showErrorMessage="1">
          <x14:formula1>
            <xm:f>Sheet2!$B$3:$B$4</xm:f>
          </x14:formula1>
          <xm:sqref>C4</xm:sqref>
        </x14:dataValidation>
        <x14:dataValidation type="list" allowBlank="1" showInputMessage="1" showErrorMessage="1">
          <x14:formula1>
            <xm:f>Sheet2!$C$3:$C$6</xm:f>
          </x14:formula1>
          <xm:sqref>C5</xm:sqref>
        </x14:dataValidation>
        <x14:dataValidation type="list" allowBlank="1" showInputMessage="1" showErrorMessage="1">
          <x14:formula1>
            <xm:f>Sheet2!$D$3:$D$4</xm:f>
          </x14:formula1>
          <xm:sqref>C6</xm:sqref>
        </x14:dataValidation>
        <x14:dataValidation type="list" allowBlank="1" showInputMessage="1" showErrorMessage="1">
          <x14:formula1>
            <xm:f>Sheet2!$E$3:$E$4</xm:f>
          </x14:formula1>
          <xm:sqref>C11</xm:sqref>
        </x14:dataValidation>
        <x14:dataValidation type="list" allowBlank="1" showInputMessage="1" showErrorMessage="1">
          <x14:formula1>
            <xm:f>Sheet2!$G$3:$G$6</xm:f>
          </x14:formula1>
          <xm:sqref>C8</xm:sqref>
        </x14:dataValidation>
        <x14:dataValidation type="list" allowBlank="1" showInputMessage="1" showErrorMessage="1">
          <x14:formula1>
            <xm:f>Sheet2!$I$3:$I$4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workbookViewId="0">
      <selection activeCell="H15" sqref="H15"/>
    </sheetView>
  </sheetViews>
  <sheetFormatPr defaultRowHeight="15" x14ac:dyDescent="0.25"/>
  <cols>
    <col min="1" max="1" width="12.7109375" bestFit="1" customWidth="1"/>
    <col min="2" max="2" width="12.42578125" bestFit="1" customWidth="1"/>
    <col min="3" max="3" width="16" bestFit="1" customWidth="1"/>
    <col min="4" max="4" width="12.7109375" bestFit="1" customWidth="1"/>
    <col min="5" max="5" width="35.42578125" customWidth="1"/>
    <col min="7" max="7" width="18.28515625" bestFit="1" customWidth="1"/>
    <col min="9" max="9" width="19.140625" bestFit="1" customWidth="1"/>
  </cols>
  <sheetData>
    <row r="2" spans="1:9" ht="30" x14ac:dyDescent="0.25">
      <c r="A2" t="s">
        <v>12</v>
      </c>
      <c r="B2" t="s">
        <v>13</v>
      </c>
      <c r="C2" t="s">
        <v>14</v>
      </c>
      <c r="D2" t="s">
        <v>25</v>
      </c>
      <c r="E2" s="1" t="s">
        <v>19</v>
      </c>
      <c r="G2" t="s">
        <v>108</v>
      </c>
      <c r="I2" t="s">
        <v>112</v>
      </c>
    </row>
    <row r="3" spans="1:9" x14ac:dyDescent="0.25">
      <c r="A3" t="s">
        <v>20</v>
      </c>
      <c r="B3" t="s">
        <v>23</v>
      </c>
      <c r="C3" t="s">
        <v>104</v>
      </c>
      <c r="D3" t="s">
        <v>26</v>
      </c>
      <c r="E3" t="s">
        <v>26</v>
      </c>
      <c r="G3" t="s">
        <v>103</v>
      </c>
      <c r="I3" t="s">
        <v>26</v>
      </c>
    </row>
    <row r="4" spans="1:9" x14ac:dyDescent="0.25">
      <c r="A4" t="s">
        <v>21</v>
      </c>
      <c r="B4" t="s">
        <v>24</v>
      </c>
      <c r="C4" t="s">
        <v>105</v>
      </c>
      <c r="D4" t="s">
        <v>27</v>
      </c>
      <c r="E4" t="s">
        <v>27</v>
      </c>
      <c r="G4" t="s">
        <v>109</v>
      </c>
      <c r="I4" t="s">
        <v>27</v>
      </c>
    </row>
    <row r="5" spans="1:9" x14ac:dyDescent="0.25">
      <c r="A5" t="s">
        <v>22</v>
      </c>
      <c r="C5" t="s">
        <v>106</v>
      </c>
      <c r="G5" t="s">
        <v>110</v>
      </c>
    </row>
    <row r="6" spans="1:9" x14ac:dyDescent="0.25">
      <c r="C6" t="s">
        <v>107</v>
      </c>
      <c r="G6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DPTI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DfIT</dc:creator>
  <cp:lastModifiedBy>Malcolm Mak</cp:lastModifiedBy>
  <dcterms:created xsi:type="dcterms:W3CDTF">2020-08-19T01:27:57Z</dcterms:created>
  <dcterms:modified xsi:type="dcterms:W3CDTF">2020-10-19T03:40:20Z</dcterms:modified>
</cp:coreProperties>
</file>